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3875"/>
  </bookViews>
  <sheets>
    <sheet name="création" sheetId="1" r:id="rId1"/>
  </sheets>
  <calcPr calcId="145621"/>
</workbook>
</file>

<file path=xl/calcChain.xml><?xml version="1.0" encoding="utf-8"?>
<calcChain xmlns="http://schemas.openxmlformats.org/spreadsheetml/2006/main">
  <c r="J10" i="1" l="1"/>
  <c r="G11" i="1"/>
  <c r="G12" i="1"/>
  <c r="E21" i="1" l="1"/>
  <c r="G13" i="1"/>
  <c r="P19" i="1"/>
  <c r="Q19" i="1"/>
  <c r="R19" i="1"/>
  <c r="S19" i="1"/>
  <c r="T19" i="1"/>
  <c r="U19" i="1"/>
  <c r="P20" i="1"/>
  <c r="Q20" i="1"/>
  <c r="R20" i="1"/>
  <c r="S20" i="1"/>
  <c r="T20" i="1"/>
  <c r="U20" i="1"/>
  <c r="P21" i="1"/>
  <c r="Q21" i="1"/>
  <c r="R21" i="1"/>
  <c r="S21" i="1"/>
  <c r="T21" i="1"/>
  <c r="U21" i="1"/>
  <c r="U16" i="1"/>
  <c r="T16" i="1"/>
  <c r="S16" i="1"/>
  <c r="R16" i="1"/>
  <c r="Q16" i="1"/>
  <c r="P16" i="1"/>
  <c r="S8" i="1"/>
  <c r="Q18" i="1" s="1"/>
  <c r="S9" i="1"/>
  <c r="R18" i="1" s="1"/>
  <c r="S10" i="1"/>
  <c r="S18" i="1" s="1"/>
  <c r="S11" i="1"/>
  <c r="T17" i="1" s="1"/>
  <c r="S12" i="1"/>
  <c r="U17" i="1" s="1"/>
  <c r="S7" i="1"/>
  <c r="P18" i="1" s="1"/>
  <c r="Z13" i="1"/>
  <c r="Y13" i="1"/>
  <c r="AA13" i="1"/>
  <c r="AB13" i="1"/>
  <c r="AC13" i="1"/>
  <c r="X13" i="1"/>
  <c r="T8" i="1"/>
  <c r="T9" i="1"/>
  <c r="T10" i="1"/>
  <c r="T11" i="1"/>
  <c r="T12" i="1"/>
  <c r="T7" i="1"/>
  <c r="Y3" i="1"/>
  <c r="Z3" i="1"/>
  <c r="AA3" i="1"/>
  <c r="AB3" i="1"/>
  <c r="AC3" i="1"/>
  <c r="AD3" i="1"/>
  <c r="AE3" i="1"/>
  <c r="AF3" i="1"/>
  <c r="AG3" i="1"/>
  <c r="Y4" i="1"/>
  <c r="Z4" i="1"/>
  <c r="AA4" i="1"/>
  <c r="AB4" i="1"/>
  <c r="AC4" i="1"/>
  <c r="AD4" i="1"/>
  <c r="AE4" i="1"/>
  <c r="AF4" i="1"/>
  <c r="AG4" i="1"/>
  <c r="Y5" i="1"/>
  <c r="Z5" i="1"/>
  <c r="AA5" i="1"/>
  <c r="AB5" i="1"/>
  <c r="AC5" i="1"/>
  <c r="AD5" i="1"/>
  <c r="AE5" i="1"/>
  <c r="AF5" i="1"/>
  <c r="AG5" i="1"/>
  <c r="Y6" i="1"/>
  <c r="Z6" i="1"/>
  <c r="AA6" i="1"/>
  <c r="AB6" i="1"/>
  <c r="AC6" i="1"/>
  <c r="AD6" i="1"/>
  <c r="AE6" i="1"/>
  <c r="AF6" i="1"/>
  <c r="AG6" i="1"/>
  <c r="X6" i="1"/>
  <c r="X5" i="1"/>
  <c r="X4" i="1"/>
  <c r="X3" i="1"/>
  <c r="B12" i="1"/>
  <c r="B11" i="1"/>
  <c r="H23" i="1" s="1"/>
  <c r="B10" i="1"/>
  <c r="B9" i="1"/>
  <c r="E36" i="1" s="1"/>
  <c r="B8" i="1"/>
  <c r="A40" i="1"/>
  <c r="B7" i="1" s="1"/>
  <c r="G4" i="1"/>
  <c r="B15" i="1" s="1"/>
  <c r="G5" i="1"/>
  <c r="G17" i="1" s="1"/>
  <c r="G6" i="1"/>
  <c r="G7" i="1"/>
  <c r="G15" i="1" s="1"/>
  <c r="G8" i="1"/>
  <c r="G3" i="1"/>
  <c r="B17" i="1" s="1"/>
  <c r="H4" i="1"/>
  <c r="H5" i="1"/>
  <c r="H6" i="1"/>
  <c r="H7" i="1"/>
  <c r="H8" i="1"/>
  <c r="H3" i="1"/>
  <c r="L16" i="1"/>
  <c r="L15" i="1"/>
  <c r="L13" i="1"/>
  <c r="L8" i="1"/>
  <c r="L7" i="1"/>
  <c r="L6" i="1"/>
  <c r="L5" i="1"/>
  <c r="L4" i="1"/>
  <c r="L3" i="1"/>
  <c r="L2" i="1"/>
  <c r="L1" i="1"/>
  <c r="H38" i="1" l="1"/>
  <c r="D39" i="1"/>
  <c r="D27" i="1"/>
  <c r="H35" i="1"/>
  <c r="H27" i="1"/>
  <c r="D38" i="1"/>
  <c r="D26" i="1"/>
  <c r="H34" i="1"/>
  <c r="H22" i="1"/>
  <c r="D37" i="1"/>
  <c r="D25" i="1"/>
  <c r="H33" i="1"/>
  <c r="D36" i="1"/>
  <c r="D24" i="1"/>
  <c r="H32" i="1"/>
  <c r="D35" i="1"/>
  <c r="D23" i="1"/>
  <c r="H31" i="1"/>
  <c r="D34" i="1"/>
  <c r="D22" i="1"/>
  <c r="H30" i="1"/>
  <c r="H21" i="1"/>
  <c r="H29" i="1"/>
  <c r="D33" i="1"/>
  <c r="D32" i="1"/>
  <c r="H40" i="1"/>
  <c r="H28" i="1"/>
  <c r="D31" i="1"/>
  <c r="H39" i="1"/>
  <c r="H26" i="1"/>
  <c r="H25" i="1"/>
  <c r="D21" i="1"/>
  <c r="D29" i="1"/>
  <c r="H37" i="1"/>
  <c r="H24" i="1"/>
  <c r="D28" i="1"/>
  <c r="D40" i="1"/>
  <c r="H36" i="1"/>
  <c r="D30" i="1"/>
  <c r="G10" i="1"/>
  <c r="J11" i="1" s="1"/>
  <c r="S17" i="1"/>
  <c r="R17" i="1"/>
  <c r="Q17" i="1"/>
  <c r="P17" i="1"/>
  <c r="U18" i="1"/>
  <c r="T18" i="1"/>
  <c r="A28" i="1"/>
  <c r="A27" i="1"/>
  <c r="B16" i="1"/>
  <c r="G16" i="1"/>
</calcChain>
</file>

<file path=xl/sharedStrings.xml><?xml version="1.0" encoding="utf-8"?>
<sst xmlns="http://schemas.openxmlformats.org/spreadsheetml/2006/main" count="287" uniqueCount="161">
  <si>
    <t>nom</t>
  </si>
  <si>
    <t>joeur</t>
  </si>
  <si>
    <t>art de combat</t>
  </si>
  <si>
    <t>vaiseau horde</t>
  </si>
  <si>
    <t>missionaire</t>
  </si>
  <si>
    <t>Caractéristiques</t>
  </si>
  <si>
    <t>force</t>
  </si>
  <si>
    <t>constitution</t>
  </si>
  <si>
    <t>dextérité</t>
  </si>
  <si>
    <t>sagesse</t>
  </si>
  <si>
    <t>charisme</t>
  </si>
  <si>
    <t>points de vie</t>
  </si>
  <si>
    <t>points d'énergie</t>
  </si>
  <si>
    <t>actions</t>
  </si>
  <si>
    <t>tir</t>
  </si>
  <si>
    <t>compétences</t>
  </si>
  <si>
    <t>acrobatie</t>
  </si>
  <si>
    <t>athlétisme</t>
  </si>
  <si>
    <t>bluff</t>
  </si>
  <si>
    <t>défense</t>
  </si>
  <si>
    <t>déguissement</t>
  </si>
  <si>
    <t>diplomatie</t>
  </si>
  <si>
    <t>discrétion</t>
  </si>
  <si>
    <t>escamotage</t>
  </si>
  <si>
    <t>fouille</t>
  </si>
  <si>
    <t>idée</t>
  </si>
  <si>
    <t>intimidation</t>
  </si>
  <si>
    <t>lire et écrire</t>
  </si>
  <si>
    <t>muscles</t>
  </si>
  <si>
    <t>perception</t>
  </si>
  <si>
    <t>psychologie</t>
  </si>
  <si>
    <t>réflexes</t>
  </si>
  <si>
    <t>résistance</t>
  </si>
  <si>
    <t>soins</t>
  </si>
  <si>
    <t>survie</t>
  </si>
  <si>
    <t>volonté</t>
  </si>
  <si>
    <t>art (________)</t>
  </si>
  <si>
    <t>for/con</t>
  </si>
  <si>
    <t>int/sag</t>
  </si>
  <si>
    <t>int/cha</t>
  </si>
  <si>
    <t>connaissance  (________)</t>
  </si>
  <si>
    <t>influence (________)</t>
  </si>
  <si>
    <t>pilotage (________)</t>
  </si>
  <si>
    <t>technique (________)</t>
  </si>
  <si>
    <t>cha/dex</t>
  </si>
  <si>
    <t>dex/cha</t>
  </si>
  <si>
    <t>dex/int</t>
  </si>
  <si>
    <t>for/cha</t>
  </si>
  <si>
    <t>max</t>
  </si>
  <si>
    <t>déplacements</t>
  </si>
  <si>
    <t>bonus dégats tir</t>
  </si>
  <si>
    <t>for/int</t>
  </si>
  <si>
    <t>dex/sag</t>
  </si>
  <si>
    <t>renseignements</t>
  </si>
  <si>
    <t>sag/cha</t>
  </si>
  <si>
    <t>con/sag</t>
  </si>
  <si>
    <t>intelligence</t>
  </si>
  <si>
    <t>tare</t>
  </si>
  <si>
    <t>première</t>
  </si>
  <si>
    <t>seconde</t>
  </si>
  <si>
    <t>aucune</t>
  </si>
  <si>
    <t>total</t>
  </si>
  <si>
    <t>ATOUT</t>
  </si>
  <si>
    <t>Arbis</t>
  </si>
  <si>
    <t>Langue (jargon de l'Arbis), Pilotage, Technique (Mécanique)</t>
  </si>
  <si>
    <t>Dologhon</t>
  </si>
  <si>
    <t>Intimidation, Langue (jargon du Dologhon), Muscles</t>
  </si>
  <si>
    <t>Himmith</t>
  </si>
  <si>
    <t>Athlétisme, Langue (jargon de l'Himmith), Survie</t>
  </si>
  <si>
    <t>Khaidu</t>
  </si>
  <si>
    <t>Idée, Langue (jargon du Khaidu), Lire et écrire</t>
  </si>
  <si>
    <t>Kukche</t>
  </si>
  <si>
    <t>Connaissance (Aliens), Connaissance (Espace), Langue (jargon du Kukche)</t>
  </si>
  <si>
    <t>Lhammuth</t>
  </si>
  <si>
    <t>Langue (jargon du Lammuth), Mêlée, Tir</t>
  </si>
  <si>
    <t>Orchibal</t>
  </si>
  <si>
    <t>Diplomatie, Langue (jargon de l'Orchibal), Langue (Marchands)</t>
  </si>
  <si>
    <t>Ourkh</t>
  </si>
  <si>
    <t>Langue (jargon de l'Ourkh), Psychologie, Volonté</t>
  </si>
  <si>
    <t>Tulkaghur</t>
  </si>
  <si>
    <t>Connaissance (Culte de la Mère), Connaissance (Tox), Langue (jargon du Tulkaghur)</t>
  </si>
  <si>
    <t>Tungour</t>
  </si>
  <si>
    <t>Défense, Langue (jargon du Tungour), Soins</t>
  </si>
  <si>
    <t>technique (mécanique)</t>
  </si>
  <si>
    <t>connaissance (aliens)</t>
  </si>
  <si>
    <t>connaissance (espace)</t>
  </si>
  <si>
    <t>langue (marchand)</t>
  </si>
  <si>
    <t>connaissance (culte de la mère)</t>
  </si>
  <si>
    <t>connaissance (tox)</t>
  </si>
  <si>
    <t>compétence de vaisseau</t>
  </si>
  <si>
    <t>pilotage (vaisseau)</t>
  </si>
  <si>
    <t>compétence de arts de combat</t>
  </si>
  <si>
    <t>Drönyer Chemo</t>
  </si>
  <si>
    <t>Kukula</t>
  </si>
  <si>
    <t>Lhamo Dhondrub</t>
  </si>
  <si>
    <t>Ngabö</t>
  </si>
  <si>
    <t>Pema Dolkar</t>
  </si>
  <si>
    <t>Püntsog</t>
  </si>
  <si>
    <t>bonus dégats mêlée</t>
  </si>
  <si>
    <t>mêlée</t>
  </si>
  <si>
    <t>intimidiation</t>
  </si>
  <si>
    <t>atouts communs</t>
  </si>
  <si>
    <t>atouts de combat</t>
  </si>
  <si>
    <t>atout de vaisseau</t>
  </si>
  <si>
    <t>apprentissage</t>
  </si>
  <si>
    <t>caratéristique</t>
  </si>
  <si>
    <t>chance</t>
  </si>
  <si>
    <t>compétence</t>
  </si>
  <si>
    <t>polyglotte</t>
  </si>
  <si>
    <t>bricolage</t>
  </si>
  <si>
    <t>tunning</t>
  </si>
  <si>
    <t>double initiation</t>
  </si>
  <si>
    <t>touche-à-tout</t>
  </si>
  <si>
    <t>embuscade</t>
  </si>
  <si>
    <t>récupération</t>
  </si>
  <si>
    <t>intélligence</t>
  </si>
  <si>
    <t>mémoire</t>
  </si>
  <si>
    <t>maitrise-K</t>
  </si>
  <si>
    <t>tenants et aboutissants</t>
  </si>
  <si>
    <t>armes lourdes</t>
  </si>
  <si>
    <t>maitre d'armes</t>
  </si>
  <si>
    <t>trafic de tox</t>
  </si>
  <si>
    <t>transfert de technologies</t>
  </si>
  <si>
    <t>force intérieure</t>
  </si>
  <si>
    <t>sur-tox</t>
  </si>
  <si>
    <t>technique d'apprentissage</t>
  </si>
  <si>
    <t>âme apaisante</t>
  </si>
  <si>
    <t>dernière chance</t>
  </si>
  <si>
    <t>armes de guerre</t>
  </si>
  <si>
    <t>attaque en force</t>
  </si>
  <si>
    <t>hargne</t>
  </si>
  <si>
    <t>puissance</t>
  </si>
  <si>
    <t>vétéran</t>
  </si>
  <si>
    <t>attaque sournoise</t>
  </si>
  <si>
    <t>charge</t>
  </si>
  <si>
    <t>coup mortel</t>
  </si>
  <si>
    <t>inaperçu</t>
  </si>
  <si>
    <t>rapidité</t>
  </si>
  <si>
    <t>attaque surprise</t>
  </si>
  <si>
    <t>audace</t>
  </si>
  <si>
    <t>botte secrète</t>
  </si>
  <si>
    <t>réussite</t>
  </si>
  <si>
    <t>vivacité</t>
  </si>
  <si>
    <t>cercle défensif</t>
  </si>
  <si>
    <t>moulinet</t>
  </si>
  <si>
    <t>posture de combat</t>
  </si>
  <si>
    <t>un-deux</t>
  </si>
  <si>
    <t>arts martiaux</t>
  </si>
  <si>
    <t>balayage</t>
  </si>
  <si>
    <t>coup intelligent</t>
  </si>
  <si>
    <t>prévoyance</t>
  </si>
  <si>
    <t>contre-attaque</t>
  </si>
  <si>
    <t>défense renforcée</t>
  </si>
  <si>
    <t>perce-armure</t>
  </si>
  <si>
    <t>protecteur</t>
  </si>
  <si>
    <t>robustesse</t>
  </si>
  <si>
    <t>points de comp à répartir</t>
  </si>
  <si>
    <t>points de caractérique restant</t>
  </si>
  <si>
    <t>points de comp de vaisseau à répartir</t>
  </si>
  <si>
    <t>points de comp d'art de combat à répartir</t>
  </si>
  <si>
    <t>langue (commun)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</si>
</sst>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Fill="1" applyBorder="1"/>
    <xf numFmtId="0" fontId="0" fillId="0" borderId="7" xfId="0" applyFill="1" applyBorder="1"/>
    <xf numFmtId="0" fontId="0" fillId="0" borderId="9" xfId="0" applyBorder="1"/>
    <xf numFmtId="0" fontId="0" fillId="0" borderId="10" xfId="0" applyBorder="1"/>
    <xf numFmtId="0" fontId="0" fillId="0" borderId="12" xfId="0" applyBorder="1"/>
    <xf numFmtId="0" fontId="0" fillId="0" borderId="14" xfId="0" applyBorder="1"/>
    <xf numFmtId="0" fontId="0" fillId="0" borderId="18" xfId="0" applyBorder="1"/>
    <xf numFmtId="0" fontId="0" fillId="0" borderId="14" xfId="0" applyBorder="1" applyAlignment="1">
      <alignment horizontal="center"/>
    </xf>
    <xf numFmtId="0" fontId="0" fillId="0" borderId="21" xfId="0" applyBorder="1"/>
    <xf numFmtId="0" fontId="0" fillId="0" borderId="17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/>
    <xf numFmtId="0" fontId="0" fillId="0" borderId="34" xfId="0" applyBorder="1"/>
    <xf numFmtId="0" fontId="0" fillId="0" borderId="11" xfId="0" applyBorder="1"/>
    <xf numFmtId="0" fontId="0" fillId="0" borderId="8" xfId="0" applyBorder="1"/>
    <xf numFmtId="0" fontId="1" fillId="0" borderId="1" xfId="0" applyFont="1" applyBorder="1"/>
    <xf numFmtId="0" fontId="1" fillId="0" borderId="13" xfId="0" applyFont="1" applyBorder="1"/>
    <xf numFmtId="0" fontId="1" fillId="0" borderId="34" xfId="0" applyFont="1" applyBorder="1"/>
    <xf numFmtId="0" fontId="1" fillId="0" borderId="12" xfId="0" applyFont="1" applyBorder="1"/>
    <xf numFmtId="0" fontId="1" fillId="0" borderId="21" xfId="0" applyFont="1" applyBorder="1"/>
    <xf numFmtId="0" fontId="1" fillId="0" borderId="33" xfId="0" applyFont="1" applyBorder="1"/>
    <xf numFmtId="0" fontId="0" fillId="0" borderId="31" xfId="0" applyBorder="1"/>
    <xf numFmtId="0" fontId="1" fillId="0" borderId="31" xfId="0" applyFont="1" applyBorder="1"/>
    <xf numFmtId="0" fontId="1" fillId="0" borderId="32" xfId="0" applyFont="1" applyBorder="1"/>
    <xf numFmtId="0" fontId="1" fillId="0" borderId="21" xfId="0" applyFont="1" applyFill="1" applyBorder="1"/>
    <xf numFmtId="0" fontId="1" fillId="0" borderId="12" xfId="0" applyFont="1" applyFill="1" applyBorder="1"/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2" xfId="0" applyFont="1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3" xfId="0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0" fillId="0" borderId="15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36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13" xfId="0" applyFont="1" applyBorder="1"/>
    <xf numFmtId="0" fontId="3" fillId="0" borderId="34" xfId="0" applyFont="1" applyBorder="1"/>
  </cellXfs>
  <cellStyles count="1">
    <cellStyle name="Normal" xfId="0" builtinId="0"/>
  </cellStyles>
  <dxfs count="21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1"/>
  <sheetViews>
    <sheetView tabSelected="1" workbookViewId="0">
      <selection activeCell="AH35" sqref="AH35"/>
    </sheetView>
  </sheetViews>
  <sheetFormatPr defaultRowHeight="15" x14ac:dyDescent="0.25"/>
  <cols>
    <col min="1" max="1" width="23.42578125" customWidth="1"/>
    <col min="2" max="2" width="9.5703125" customWidth="1"/>
    <col min="3" max="3" width="7.7109375" customWidth="1"/>
    <col min="4" max="4" width="5.140625" bestFit="1" customWidth="1"/>
    <col min="5" max="5" width="20.140625" bestFit="1" customWidth="1"/>
    <col min="6" max="6" width="8" bestFit="1" customWidth="1"/>
    <col min="7" max="7" width="5.42578125" bestFit="1" customWidth="1"/>
    <col min="8" max="8" width="5.5703125" bestFit="1" customWidth="1"/>
    <col min="9" max="9" width="9.140625" customWidth="1"/>
    <col min="10" max="10" width="9.140625" hidden="1" customWidth="1"/>
    <col min="11" max="11" width="10.140625" hidden="1" customWidth="1"/>
    <col min="12" max="12" width="9.140625" hidden="1" customWidth="1"/>
    <col min="13" max="13" width="4.42578125" hidden="1" customWidth="1"/>
    <col min="14" max="14" width="29.42578125" hidden="1" customWidth="1"/>
    <col min="15" max="15" width="22.140625" hidden="1" customWidth="1"/>
    <col min="16" max="31" width="9.140625" hidden="1" customWidth="1"/>
    <col min="32" max="32" width="26.7109375" hidden="1" customWidth="1"/>
    <col min="33" max="33" width="25.140625" hidden="1" customWidth="1"/>
  </cols>
  <sheetData>
    <row r="1" spans="1:33" ht="16.5" thickBot="1" x14ac:dyDescent="0.3">
      <c r="A1" s="5"/>
      <c r="B1" s="6"/>
      <c r="C1" s="6"/>
      <c r="D1" s="6"/>
      <c r="E1" s="66" t="s">
        <v>5</v>
      </c>
      <c r="F1" s="67"/>
      <c r="G1" s="67"/>
      <c r="H1" s="68"/>
      <c r="K1" s="1" t="s">
        <v>37</v>
      </c>
      <c r="L1" s="1">
        <f>F3+F4</f>
        <v>5</v>
      </c>
      <c r="N1" s="1" t="s">
        <v>6</v>
      </c>
      <c r="R1" t="s">
        <v>101</v>
      </c>
      <c r="X1" s="1" t="s">
        <v>63</v>
      </c>
      <c r="Y1" s="1" t="s">
        <v>65</v>
      </c>
      <c r="Z1" s="1" t="s">
        <v>67</v>
      </c>
      <c r="AA1" s="1" t="s">
        <v>69</v>
      </c>
      <c r="AB1" s="1" t="s">
        <v>71</v>
      </c>
      <c r="AC1" s="1" t="s">
        <v>73</v>
      </c>
      <c r="AD1" s="1" t="s">
        <v>75</v>
      </c>
      <c r="AE1" s="1" t="s">
        <v>77</v>
      </c>
      <c r="AF1" s="1" t="s">
        <v>79</v>
      </c>
      <c r="AG1" s="1" t="s">
        <v>81</v>
      </c>
    </row>
    <row r="2" spans="1:33" ht="16.5" thickBot="1" x14ac:dyDescent="0.3">
      <c r="A2" s="48" t="s">
        <v>4</v>
      </c>
      <c r="B2" s="49"/>
      <c r="C2" s="50"/>
      <c r="D2" s="2"/>
      <c r="E2" s="13"/>
      <c r="F2" s="14"/>
      <c r="G2" s="18" t="s">
        <v>61</v>
      </c>
      <c r="H2" s="69" t="s">
        <v>48</v>
      </c>
      <c r="K2" s="1" t="s">
        <v>38</v>
      </c>
      <c r="L2" s="1">
        <f>F6+F7</f>
        <v>4</v>
      </c>
      <c r="N2" s="1" t="s">
        <v>7</v>
      </c>
      <c r="R2" t="s">
        <v>102</v>
      </c>
      <c r="X2" t="s">
        <v>109</v>
      </c>
      <c r="Y2" t="s">
        <v>111</v>
      </c>
      <c r="Z2" t="s">
        <v>113</v>
      </c>
      <c r="AA2" t="s">
        <v>115</v>
      </c>
      <c r="AB2" t="s">
        <v>117</v>
      </c>
      <c r="AC2" t="s">
        <v>119</v>
      </c>
      <c r="AD2" t="s">
        <v>121</v>
      </c>
      <c r="AE2" t="s">
        <v>123</v>
      </c>
      <c r="AF2" t="s">
        <v>124</v>
      </c>
      <c r="AG2" t="s">
        <v>126</v>
      </c>
    </row>
    <row r="3" spans="1:33" x14ac:dyDescent="0.25">
      <c r="A3" s="26" t="s">
        <v>0</v>
      </c>
      <c r="B3" s="60"/>
      <c r="C3" s="65"/>
      <c r="D3" s="2"/>
      <c r="E3" s="23" t="s">
        <v>6</v>
      </c>
      <c r="F3" s="1">
        <v>3</v>
      </c>
      <c r="G3" s="20">
        <f t="shared" ref="G3:G8" si="0">F3+IF(INDEX($L$19:$L$28,MATCH($B$6,$K$19:$K$28,0),0)=E3,2,0)</f>
        <v>5</v>
      </c>
      <c r="H3" s="70">
        <f t="shared" ref="H3:H8" si="1">IF($E$43="aucune",IF($B$43&lt;&gt;E3,5,1),IF((E3&lt;&gt;$B$43)*(E3&lt;&gt;$E$43),5,3))</f>
        <v>5</v>
      </c>
      <c r="K3" s="1" t="s">
        <v>39</v>
      </c>
      <c r="L3" s="1">
        <f>F6+F8</f>
        <v>6</v>
      </c>
      <c r="N3" s="1" t="s">
        <v>8</v>
      </c>
      <c r="R3" t="s">
        <v>103</v>
      </c>
      <c r="X3" t="str">
        <f>CONCATENATE("compétence ",X1)</f>
        <v>compétence Arbis</v>
      </c>
      <c r="Y3" t="str">
        <f t="shared" ref="Y3:AG3" si="2">CONCATENATE("compétence ",Y1)</f>
        <v>compétence Dologhon</v>
      </c>
      <c r="Z3" t="str">
        <f t="shared" si="2"/>
        <v>compétence Himmith</v>
      </c>
      <c r="AA3" t="str">
        <f t="shared" si="2"/>
        <v>compétence Khaidu</v>
      </c>
      <c r="AB3" t="str">
        <f t="shared" si="2"/>
        <v>compétence Kukche</v>
      </c>
      <c r="AC3" t="str">
        <f t="shared" si="2"/>
        <v>compétence Lhammuth</v>
      </c>
      <c r="AD3" t="str">
        <f t="shared" si="2"/>
        <v>compétence Orchibal</v>
      </c>
      <c r="AE3" t="str">
        <f t="shared" si="2"/>
        <v>compétence Ourkh</v>
      </c>
      <c r="AF3" t="str">
        <f t="shared" si="2"/>
        <v>compétence Tulkaghur</v>
      </c>
      <c r="AG3" t="str">
        <f t="shared" si="2"/>
        <v>compétence Tungour</v>
      </c>
    </row>
    <row r="4" spans="1:33" x14ac:dyDescent="0.25">
      <c r="A4" s="7" t="s">
        <v>1</v>
      </c>
      <c r="B4" s="57"/>
      <c r="C4" s="58"/>
      <c r="D4" s="2"/>
      <c r="E4" s="23" t="s">
        <v>7</v>
      </c>
      <c r="F4" s="1">
        <v>2</v>
      </c>
      <c r="G4" s="20">
        <f t="shared" si="0"/>
        <v>2</v>
      </c>
      <c r="H4" s="70">
        <f t="shared" si="1"/>
        <v>5</v>
      </c>
      <c r="K4" s="1" t="s">
        <v>44</v>
      </c>
      <c r="L4" s="1">
        <f>F8+F5</f>
        <v>5</v>
      </c>
      <c r="N4" s="3" t="s">
        <v>56</v>
      </c>
      <c r="X4" t="str">
        <f>CONCATENATE("initiation prime ",X1)</f>
        <v>initiation prime Arbis</v>
      </c>
      <c r="Y4" t="str">
        <f t="shared" ref="Y4:AG4" si="3">CONCATENATE("initiation prime ",Y1)</f>
        <v>initiation prime Dologhon</v>
      </c>
      <c r="Z4" t="str">
        <f t="shared" si="3"/>
        <v>initiation prime Himmith</v>
      </c>
      <c r="AA4" t="str">
        <f t="shared" si="3"/>
        <v>initiation prime Khaidu</v>
      </c>
      <c r="AB4" t="str">
        <f t="shared" si="3"/>
        <v>initiation prime Kukche</v>
      </c>
      <c r="AC4" t="str">
        <f t="shared" si="3"/>
        <v>initiation prime Lhammuth</v>
      </c>
      <c r="AD4" t="str">
        <f t="shared" si="3"/>
        <v>initiation prime Orchibal</v>
      </c>
      <c r="AE4" t="str">
        <f t="shared" si="3"/>
        <v>initiation prime Ourkh</v>
      </c>
      <c r="AF4" t="str">
        <f t="shared" si="3"/>
        <v>initiation prime Tulkaghur</v>
      </c>
      <c r="AG4" t="str">
        <f t="shared" si="3"/>
        <v>initiation prime Tungour</v>
      </c>
    </row>
    <row r="5" spans="1:33" x14ac:dyDescent="0.25">
      <c r="A5" s="7" t="s">
        <v>2</v>
      </c>
      <c r="B5" s="57" t="s">
        <v>92</v>
      </c>
      <c r="C5" s="58"/>
      <c r="D5" s="2"/>
      <c r="E5" s="23" t="s">
        <v>8</v>
      </c>
      <c r="F5" s="1">
        <v>2</v>
      </c>
      <c r="G5" s="20">
        <f t="shared" si="0"/>
        <v>2</v>
      </c>
      <c r="H5" s="70">
        <f t="shared" si="1"/>
        <v>5</v>
      </c>
      <c r="K5" s="1" t="s">
        <v>45</v>
      </c>
      <c r="L5" s="1">
        <f>F5+F8</f>
        <v>5</v>
      </c>
      <c r="N5" s="1" t="s">
        <v>9</v>
      </c>
      <c r="X5" t="str">
        <f>CONCATENATE("initiation seconde ",X1)</f>
        <v>initiation seconde Arbis</v>
      </c>
      <c r="Y5" t="str">
        <f t="shared" ref="Y5:AG5" si="4">CONCATENATE("initiation seconde ",Y1)</f>
        <v>initiation seconde Dologhon</v>
      </c>
      <c r="Z5" t="str">
        <f t="shared" si="4"/>
        <v>initiation seconde Himmith</v>
      </c>
      <c r="AA5" t="str">
        <f t="shared" si="4"/>
        <v>initiation seconde Khaidu</v>
      </c>
      <c r="AB5" t="str">
        <f t="shared" si="4"/>
        <v>initiation seconde Kukche</v>
      </c>
      <c r="AC5" t="str">
        <f t="shared" si="4"/>
        <v>initiation seconde Lhammuth</v>
      </c>
      <c r="AD5" t="str">
        <f t="shared" si="4"/>
        <v>initiation seconde Orchibal</v>
      </c>
      <c r="AE5" t="str">
        <f t="shared" si="4"/>
        <v>initiation seconde Ourkh</v>
      </c>
      <c r="AF5" t="str">
        <f t="shared" si="4"/>
        <v>initiation seconde Tulkaghur</v>
      </c>
      <c r="AG5" t="str">
        <f t="shared" si="4"/>
        <v>initiation seconde Tungour</v>
      </c>
    </row>
    <row r="6" spans="1:33" x14ac:dyDescent="0.25">
      <c r="A6" s="7" t="s">
        <v>3</v>
      </c>
      <c r="B6" s="57" t="s">
        <v>73</v>
      </c>
      <c r="C6" s="58"/>
      <c r="D6" s="2"/>
      <c r="E6" s="30" t="s">
        <v>56</v>
      </c>
      <c r="F6" s="1">
        <v>3</v>
      </c>
      <c r="G6" s="20">
        <f t="shared" si="0"/>
        <v>3</v>
      </c>
      <c r="H6" s="70">
        <f t="shared" si="1"/>
        <v>5</v>
      </c>
      <c r="K6" s="1" t="s">
        <v>46</v>
      </c>
      <c r="L6" s="1">
        <f>F5+F6</f>
        <v>5</v>
      </c>
      <c r="N6" s="1" t="s">
        <v>10</v>
      </c>
      <c r="R6" t="s">
        <v>101</v>
      </c>
      <c r="S6" t="s">
        <v>102</v>
      </c>
      <c r="T6" t="s">
        <v>103</v>
      </c>
      <c r="X6" t="str">
        <f>CONCATENATE("initiation tierce ",X1)</f>
        <v>initiation tierce Arbis</v>
      </c>
      <c r="Y6" t="str">
        <f t="shared" ref="Y6:AG6" si="5">CONCATENATE("initiation tierce ",Y1)</f>
        <v>initiation tierce Dologhon</v>
      </c>
      <c r="Z6" t="str">
        <f t="shared" si="5"/>
        <v>initiation tierce Himmith</v>
      </c>
      <c r="AA6" t="str">
        <f t="shared" si="5"/>
        <v>initiation tierce Khaidu</v>
      </c>
      <c r="AB6" t="str">
        <f t="shared" si="5"/>
        <v>initiation tierce Kukche</v>
      </c>
      <c r="AC6" t="str">
        <f t="shared" si="5"/>
        <v>initiation tierce Lhammuth</v>
      </c>
      <c r="AD6" t="str">
        <f t="shared" si="5"/>
        <v>initiation tierce Orchibal</v>
      </c>
      <c r="AE6" t="str">
        <f t="shared" si="5"/>
        <v>initiation tierce Ourkh</v>
      </c>
      <c r="AF6" t="str">
        <f t="shared" si="5"/>
        <v>initiation tierce Tulkaghur</v>
      </c>
      <c r="AG6" t="str">
        <f t="shared" si="5"/>
        <v>initiation tierce Tungour</v>
      </c>
    </row>
    <row r="7" spans="1:33" x14ac:dyDescent="0.25">
      <c r="A7" s="51" t="s">
        <v>89</v>
      </c>
      <c r="B7" s="52" t="str">
        <f>A40</f>
        <v>langue (Lhammuth)</v>
      </c>
      <c r="C7" s="53"/>
      <c r="D7" s="2"/>
      <c r="E7" s="23" t="s">
        <v>9</v>
      </c>
      <c r="F7" s="1">
        <v>1</v>
      </c>
      <c r="G7" s="20">
        <f t="shared" si="0"/>
        <v>1</v>
      </c>
      <c r="H7" s="70">
        <f t="shared" si="1"/>
        <v>3</v>
      </c>
      <c r="K7" s="1" t="s">
        <v>47</v>
      </c>
      <c r="L7" s="1">
        <f>F3+F8</f>
        <v>6</v>
      </c>
      <c r="N7" s="4" t="s">
        <v>60</v>
      </c>
      <c r="R7" t="s">
        <v>104</v>
      </c>
      <c r="S7" t="str">
        <f>INDEX(X11:AC11,0,MATCH($B$5,$X$10:$AC$10,0))</f>
        <v>armes de guerre</v>
      </c>
      <c r="T7" t="str">
        <f>INDEX(X2:AG2,0,MATCH($B$6,$X$1:$AG$1,0))</f>
        <v>armes lourdes</v>
      </c>
      <c r="X7" t="s">
        <v>110</v>
      </c>
      <c r="Y7" t="s">
        <v>112</v>
      </c>
      <c r="Z7" t="s">
        <v>114</v>
      </c>
      <c r="AA7" t="s">
        <v>116</v>
      </c>
      <c r="AB7" t="s">
        <v>118</v>
      </c>
      <c r="AC7" t="s">
        <v>120</v>
      </c>
      <c r="AD7" t="s">
        <v>122</v>
      </c>
      <c r="AE7" t="s">
        <v>12</v>
      </c>
      <c r="AF7" t="s">
        <v>125</v>
      </c>
      <c r="AG7" t="s">
        <v>127</v>
      </c>
    </row>
    <row r="8" spans="1:33" ht="15.75" thickBot="1" x14ac:dyDescent="0.3">
      <c r="A8" s="51"/>
      <c r="B8" s="52" t="str">
        <f>INDEX($N$19:$N$28,MATCH($B$6,$K$19:$K$28,0),0)</f>
        <v>mêlée</v>
      </c>
      <c r="C8" s="53"/>
      <c r="D8" s="2"/>
      <c r="E8" s="24" t="s">
        <v>10</v>
      </c>
      <c r="F8" s="16">
        <v>3</v>
      </c>
      <c r="G8" s="25">
        <f t="shared" si="0"/>
        <v>3</v>
      </c>
      <c r="H8" s="71">
        <f t="shared" si="1"/>
        <v>3</v>
      </c>
      <c r="K8" s="1" t="s">
        <v>51</v>
      </c>
      <c r="L8" s="1">
        <f>F3+F6</f>
        <v>6</v>
      </c>
      <c r="R8" t="s">
        <v>105</v>
      </c>
      <c r="S8" t="str">
        <f t="shared" ref="S8:S9" si="6">INDEX(X12:AC12,0,MATCH($B$5,$X$10:$AC$10,0))</f>
        <v>attaque en force</v>
      </c>
      <c r="T8" t="str">
        <f t="shared" ref="T8:T12" si="7">INDEX(X3:AG3,0,MATCH($B$6,$X$1:$AG$1,0))</f>
        <v>compétence Lhammuth</v>
      </c>
    </row>
    <row r="9" spans="1:33" x14ac:dyDescent="0.25">
      <c r="A9" s="51"/>
      <c r="B9" s="52" t="str">
        <f>INDEX($O$19:$O$28,MATCH($B$6,$K$19:$K$28,0),0)</f>
        <v>tir</v>
      </c>
      <c r="C9" s="53"/>
      <c r="D9" s="2"/>
      <c r="E9" s="2"/>
      <c r="F9" s="2"/>
      <c r="G9" s="2"/>
      <c r="H9" s="8"/>
      <c r="K9" s="1"/>
      <c r="L9" s="1"/>
      <c r="R9" t="s">
        <v>106</v>
      </c>
      <c r="S9" t="str">
        <f t="shared" si="6"/>
        <v>compétence de Drönyer Chemo</v>
      </c>
      <c r="T9" t="str">
        <f t="shared" si="7"/>
        <v>initiation prime Lhammuth</v>
      </c>
    </row>
    <row r="10" spans="1:33" x14ac:dyDescent="0.25">
      <c r="A10" s="54" t="s">
        <v>91</v>
      </c>
      <c r="B10" s="52" t="str">
        <f>INDEX($L$35:$L$40,MATCH($B$5,$K$35:$K$40,0),0)</f>
        <v>mêlée</v>
      </c>
      <c r="C10" s="53"/>
      <c r="D10" s="2"/>
      <c r="E10" s="34" t="s">
        <v>156</v>
      </c>
      <c r="F10" s="34"/>
      <c r="G10" s="34">
        <f>G6+G8+IF(B46=R7,G6,0)+IF(B47=R7,G6,0)+IF(B48=R7,G6,0)+IF(B49=R7,G6,0)+IF(B50=R7,G6,0)+IF(B51=R7,G6,0)</f>
        <v>6</v>
      </c>
      <c r="H10" s="35"/>
      <c r="J10">
        <f>SUM(C21:C40,G21:G40)</f>
        <v>4</v>
      </c>
      <c r="K10" s="1"/>
      <c r="L10" s="1"/>
      <c r="R10" t="s">
        <v>107</v>
      </c>
      <c r="S10" t="str">
        <f>INDEX(X15:AC15,0,MATCH($B$5,$X$10:$AC$10,0))</f>
        <v>hargne</v>
      </c>
      <c r="T10" t="str">
        <f t="shared" si="7"/>
        <v>initiation seconde Lhammuth</v>
      </c>
      <c r="X10" t="s">
        <v>92</v>
      </c>
      <c r="Y10" t="s">
        <v>93</v>
      </c>
      <c r="Z10" t="s">
        <v>94</v>
      </c>
      <c r="AA10" t="s">
        <v>95</v>
      </c>
      <c r="AB10" t="s">
        <v>96</v>
      </c>
      <c r="AC10" t="s">
        <v>97</v>
      </c>
    </row>
    <row r="11" spans="1:33" x14ac:dyDescent="0.25">
      <c r="A11" s="55"/>
      <c r="B11" s="52" t="str">
        <f>INDEX($M$35:$M$40,MATCH($B$5,$K$35:$K$40,0),0)</f>
        <v>muscles</v>
      </c>
      <c r="C11" s="53"/>
      <c r="D11" s="2"/>
      <c r="E11" s="34" t="s">
        <v>159</v>
      </c>
      <c r="F11" s="34"/>
      <c r="G11" s="34">
        <f>IF(B46=S9,3,0)+IF(B47=S9,3,0)+IF(B48=S9,3,0)+IF(B49=S9,3,0)+IF(B50=S9,3,0)+IF(B51=S9,3,0)</f>
        <v>0</v>
      </c>
      <c r="H11" s="35"/>
      <c r="J11">
        <f>SUM(G10:H12)</f>
        <v>6</v>
      </c>
      <c r="K11" s="1"/>
      <c r="L11" s="1"/>
      <c r="R11" t="s">
        <v>11</v>
      </c>
      <c r="S11" t="str">
        <f>INDEX(X16:AC16,0,MATCH($B$5,$X$10:$AC$10,0))</f>
        <v>puissance</v>
      </c>
      <c r="T11" t="str">
        <f t="shared" si="7"/>
        <v>initiation tierce Lhammuth</v>
      </c>
      <c r="X11" t="s">
        <v>128</v>
      </c>
      <c r="Y11" t="s">
        <v>133</v>
      </c>
      <c r="Z11" t="s">
        <v>138</v>
      </c>
      <c r="AA11" t="s">
        <v>143</v>
      </c>
      <c r="AB11" t="s">
        <v>147</v>
      </c>
      <c r="AC11" t="s">
        <v>151</v>
      </c>
    </row>
    <row r="12" spans="1:33" ht="15.75" thickBot="1" x14ac:dyDescent="0.3">
      <c r="A12" s="56"/>
      <c r="B12" s="36" t="str">
        <f>INDEX($N$35:$N$40,MATCH($B$5,$K$35:$K$40,0),0)</f>
        <v>résistance</v>
      </c>
      <c r="C12" s="37"/>
      <c r="D12" s="2"/>
      <c r="E12" s="34" t="s">
        <v>158</v>
      </c>
      <c r="F12" s="34"/>
      <c r="G12" s="34">
        <f>IF(B46=T8,3,0)+IF(B47=T8,3,0)+IF(B48=T8,3,0)+IF(B49=T8,3,0)+IF(B50=T8,3,0)+IF(B51=T8,3,0)</f>
        <v>0</v>
      </c>
      <c r="H12" s="35"/>
      <c r="K12" s="1"/>
      <c r="L12" s="1"/>
      <c r="R12" t="s">
        <v>108</v>
      </c>
      <c r="S12" t="str">
        <f>INDEX(X17:AC17,0,MATCH($B$5,$X$10:$AC$10,0))</f>
        <v>vétéran</v>
      </c>
      <c r="T12" t="str">
        <f t="shared" si="7"/>
        <v>maitre d'armes</v>
      </c>
      <c r="X12" t="s">
        <v>129</v>
      </c>
      <c r="Y12" t="s">
        <v>134</v>
      </c>
      <c r="Z12" t="s">
        <v>139</v>
      </c>
      <c r="AA12" t="s">
        <v>144</v>
      </c>
      <c r="AB12" t="s">
        <v>148</v>
      </c>
      <c r="AC12" t="s">
        <v>152</v>
      </c>
    </row>
    <row r="13" spans="1:33" x14ac:dyDescent="0.25">
      <c r="A13" s="9"/>
      <c r="B13" s="2"/>
      <c r="C13" s="2"/>
      <c r="D13" s="2"/>
      <c r="E13" s="34" t="s">
        <v>157</v>
      </c>
      <c r="F13" s="34"/>
      <c r="G13" s="34">
        <f>13-SUM(F3:F8)+IF(B46=R8,1,0)+IF(B47=R8,1,0)+IF(B48=R8,1,0)+IF(B49=R8,1,0)+IF(B50=R8,1,0)+IF(B51=R8,1,0)</f>
        <v>0</v>
      </c>
      <c r="H13" s="35"/>
      <c r="K13" s="1" t="s">
        <v>52</v>
      </c>
      <c r="L13" s="1">
        <f>F5+F7</f>
        <v>3</v>
      </c>
      <c r="X13" t="str">
        <f>CONCATENATE("compétence de ",X10)</f>
        <v>compétence de Drönyer Chemo</v>
      </c>
      <c r="Y13" t="str">
        <f t="shared" ref="Y13:AC13" si="8">CONCATENATE("compétence de ",Y10)</f>
        <v>compétence de Kukula</v>
      </c>
      <c r="Z13" t="str">
        <f t="shared" si="8"/>
        <v>compétence de Lhamo Dhondrub</v>
      </c>
      <c r="AA13" t="str">
        <f t="shared" si="8"/>
        <v>compétence de Ngabö</v>
      </c>
      <c r="AB13" t="str">
        <f t="shared" si="8"/>
        <v>compétence de Pema Dolkar</v>
      </c>
      <c r="AC13" t="str">
        <f t="shared" si="8"/>
        <v>compétence de Püntsog</v>
      </c>
    </row>
    <row r="14" spans="1:33" ht="6.75" customHeight="1" thickBot="1" x14ac:dyDescent="0.3">
      <c r="A14" s="9"/>
      <c r="B14" s="2"/>
      <c r="C14" s="2"/>
      <c r="D14" s="2"/>
      <c r="E14" s="2"/>
      <c r="F14" s="2"/>
      <c r="G14" s="2"/>
      <c r="H14" s="10"/>
      <c r="K14" s="1"/>
      <c r="L14" s="1"/>
    </row>
    <row r="15" spans="1:33" x14ac:dyDescent="0.25">
      <c r="A15" s="27" t="s">
        <v>11</v>
      </c>
      <c r="B15" s="28">
        <f>2*G4+6+IF(B46=R11,G4,0)+IF(B47=R11,G4,0)+IF(B48=R11,G4,0)+IF(B49=R11,G4,0)+IF(B50=R11,G4,0)+IF(B51=R11,G4,0)</f>
        <v>10</v>
      </c>
      <c r="C15" s="2"/>
      <c r="D15" s="2"/>
      <c r="E15" s="59" t="s">
        <v>12</v>
      </c>
      <c r="F15" s="60"/>
      <c r="G15" s="28">
        <f>G7+IF(B46=AE7,2,0)+IF(B47=AE7,1,0)+IF(B48=AE7,2,0)+IF(B49=AE7,2,0)+IF(B50=AE7,2,0)+IF(B51=AE7,2,0)</f>
        <v>1</v>
      </c>
      <c r="H15" s="8"/>
      <c r="K15" s="1" t="s">
        <v>54</v>
      </c>
      <c r="L15" s="1">
        <f>F7+F8</f>
        <v>4</v>
      </c>
      <c r="X15" t="s">
        <v>130</v>
      </c>
      <c r="Y15" t="s">
        <v>135</v>
      </c>
      <c r="Z15" t="s">
        <v>140</v>
      </c>
      <c r="AA15" t="s">
        <v>145</v>
      </c>
      <c r="AB15" t="s">
        <v>149</v>
      </c>
      <c r="AC15" t="s">
        <v>153</v>
      </c>
    </row>
    <row r="16" spans="1:33" x14ac:dyDescent="0.25">
      <c r="A16" s="23" t="s">
        <v>13</v>
      </c>
      <c r="B16" s="21">
        <f>INT(G5/2+0.5)</f>
        <v>1</v>
      </c>
      <c r="C16" s="2"/>
      <c r="D16" s="2"/>
      <c r="E16" s="61" t="s">
        <v>49</v>
      </c>
      <c r="F16" s="62"/>
      <c r="G16" s="21">
        <f>5*G5</f>
        <v>10</v>
      </c>
      <c r="H16" s="8"/>
      <c r="K16" s="1" t="s">
        <v>55</v>
      </c>
      <c r="L16" s="1">
        <f>F4+F7</f>
        <v>3</v>
      </c>
      <c r="P16" s="1" t="str">
        <f>INDEX($R$7:$T$7,0,MATCH($A46,$R$6:$T$6,0))</f>
        <v>apprentissage</v>
      </c>
      <c r="Q16" s="1" t="str">
        <f>INDEX($R$8:$T$8,0,MATCH($A46,$R$6:$T$6,0))</f>
        <v>caratéristique</v>
      </c>
      <c r="R16" s="1" t="str">
        <f>INDEX($R$9:$T$9,0,MATCH($A46,$R$6:$T$6,0))</f>
        <v>chance</v>
      </c>
      <c r="S16" s="1" t="str">
        <f>INDEX($R$10:$T$10,0,MATCH($A46,$R$6:$T$6,0))</f>
        <v>compétence</v>
      </c>
      <c r="T16" s="1" t="str">
        <f>INDEX($R$11:$T$11,0,MATCH($A46,$R$6:$T$6,0))</f>
        <v>points de vie</v>
      </c>
      <c r="U16" s="1" t="str">
        <f>INDEX($R$12:$T$12,0,MATCH($A46,$R$6:$T$6,0))</f>
        <v>polyglotte</v>
      </c>
      <c r="X16" t="s">
        <v>131</v>
      </c>
      <c r="Y16" t="s">
        <v>136</v>
      </c>
      <c r="Z16" t="s">
        <v>141</v>
      </c>
      <c r="AA16" t="s">
        <v>146</v>
      </c>
      <c r="AB16" t="s">
        <v>114</v>
      </c>
      <c r="AC16" t="s">
        <v>154</v>
      </c>
    </row>
    <row r="17" spans="1:29" ht="15.75" thickBot="1" x14ac:dyDescent="0.3">
      <c r="A17" s="29" t="s">
        <v>98</v>
      </c>
      <c r="B17" s="22">
        <f>IF(COUNTIF(B46:H50,AB15),MAX(G3,G6),G3)</f>
        <v>5</v>
      </c>
      <c r="C17" s="2"/>
      <c r="D17" s="2"/>
      <c r="E17" s="63" t="s">
        <v>50</v>
      </c>
      <c r="F17" s="64"/>
      <c r="G17" s="22">
        <f>G5</f>
        <v>2</v>
      </c>
      <c r="H17" s="8"/>
      <c r="P17" s="1" t="str">
        <f t="shared" ref="P17:P21" si="9">INDEX($R$7:$T$7,0,MATCH($A47,$R$6:$T$6,0))</f>
        <v>armes de guerre</v>
      </c>
      <c r="Q17" s="1" t="str">
        <f t="shared" ref="Q17:Q21" si="10">INDEX($R$8:$T$8,0,MATCH($A47,$R$6:$T$6,0))</f>
        <v>attaque en force</v>
      </c>
      <c r="R17" s="1" t="str">
        <f t="shared" ref="R17:R21" si="11">INDEX($R$9:$T$9,0,MATCH($A47,$R$6:$T$6,0))</f>
        <v>compétence de Drönyer Chemo</v>
      </c>
      <c r="S17" s="1" t="str">
        <f t="shared" ref="S17:S21" si="12">INDEX($R$10:$T$10,0,MATCH($A47,$R$6:$T$6,0))</f>
        <v>hargne</v>
      </c>
      <c r="T17" s="1" t="str">
        <f t="shared" ref="T17:T21" si="13">INDEX($R$11:$T$11,0,MATCH($A47,$R$6:$T$6,0))</f>
        <v>puissance</v>
      </c>
      <c r="U17" s="1" t="str">
        <f t="shared" ref="U17:U21" si="14">INDEX($R$12:$T$12,0,MATCH($A47,$R$6:$T$6,0))</f>
        <v>vétéran</v>
      </c>
      <c r="X17" t="s">
        <v>132</v>
      </c>
      <c r="Y17" t="s">
        <v>137</v>
      </c>
      <c r="Z17" t="s">
        <v>142</v>
      </c>
      <c r="AB17" t="s">
        <v>150</v>
      </c>
      <c r="AC17" t="s">
        <v>155</v>
      </c>
    </row>
    <row r="18" spans="1:29" ht="7.5" customHeight="1" thickBot="1" x14ac:dyDescent="0.3">
      <c r="A18" s="9"/>
      <c r="B18" s="2"/>
      <c r="C18" s="2"/>
      <c r="D18" s="2"/>
      <c r="E18" s="2"/>
      <c r="F18" s="2"/>
      <c r="G18" s="2"/>
      <c r="H18" s="8"/>
      <c r="P18" s="1" t="str">
        <f t="shared" si="9"/>
        <v>armes lourdes</v>
      </c>
      <c r="Q18" s="1" t="str">
        <f t="shared" si="10"/>
        <v>compétence Lhammuth</v>
      </c>
      <c r="R18" s="1" t="str">
        <f t="shared" si="11"/>
        <v>initiation prime Lhammuth</v>
      </c>
      <c r="S18" s="1" t="str">
        <f t="shared" si="12"/>
        <v>initiation seconde Lhammuth</v>
      </c>
      <c r="T18" s="1" t="str">
        <f t="shared" si="13"/>
        <v>initiation tierce Lhammuth</v>
      </c>
      <c r="U18" s="1" t="str">
        <f t="shared" si="14"/>
        <v>maitre d'armes</v>
      </c>
    </row>
    <row r="19" spans="1:29" ht="16.5" thickBot="1" x14ac:dyDescent="0.3">
      <c r="A19" s="48" t="s">
        <v>15</v>
      </c>
      <c r="B19" s="49"/>
      <c r="C19" s="49"/>
      <c r="D19" s="49"/>
      <c r="E19" s="49"/>
      <c r="F19" s="49"/>
      <c r="G19" s="49"/>
      <c r="H19" s="50"/>
      <c r="K19" s="1" t="s">
        <v>63</v>
      </c>
      <c r="L19" s="1" t="s">
        <v>8</v>
      </c>
      <c r="M19" t="s">
        <v>64</v>
      </c>
      <c r="N19" t="s">
        <v>90</v>
      </c>
      <c r="O19" t="s">
        <v>83</v>
      </c>
      <c r="P19" s="1" t="e">
        <f t="shared" si="9"/>
        <v>#N/A</v>
      </c>
      <c r="Q19" s="1" t="e">
        <f t="shared" si="10"/>
        <v>#N/A</v>
      </c>
      <c r="R19" s="1" t="e">
        <f t="shared" si="11"/>
        <v>#N/A</v>
      </c>
      <c r="S19" s="1" t="e">
        <f t="shared" si="12"/>
        <v>#N/A</v>
      </c>
      <c r="T19" s="1" t="e">
        <f t="shared" si="13"/>
        <v>#N/A</v>
      </c>
      <c r="U19" s="1" t="e">
        <f t="shared" si="14"/>
        <v>#N/A</v>
      </c>
    </row>
    <row r="20" spans="1:29" x14ac:dyDescent="0.25">
      <c r="A20" s="13"/>
      <c r="B20" s="14"/>
      <c r="C20" s="14"/>
      <c r="D20" s="15" t="s">
        <v>61</v>
      </c>
      <c r="E20" s="13"/>
      <c r="F20" s="18"/>
      <c r="G20" s="14"/>
      <c r="H20" s="15" t="s">
        <v>61</v>
      </c>
      <c r="K20" s="1" t="s">
        <v>65</v>
      </c>
      <c r="L20" s="1" t="s">
        <v>6</v>
      </c>
      <c r="M20" t="s">
        <v>66</v>
      </c>
      <c r="N20" t="s">
        <v>26</v>
      </c>
      <c r="O20" t="s">
        <v>28</v>
      </c>
      <c r="P20" s="1" t="e">
        <f t="shared" si="9"/>
        <v>#N/A</v>
      </c>
      <c r="Q20" s="1" t="e">
        <f t="shared" si="10"/>
        <v>#N/A</v>
      </c>
      <c r="R20" s="1" t="e">
        <f t="shared" si="11"/>
        <v>#N/A</v>
      </c>
      <c r="S20" s="1" t="e">
        <f t="shared" si="12"/>
        <v>#N/A</v>
      </c>
      <c r="T20" s="1" t="e">
        <f t="shared" si="13"/>
        <v>#N/A</v>
      </c>
      <c r="U20" s="1" t="e">
        <f t="shared" si="14"/>
        <v>#N/A</v>
      </c>
    </row>
    <row r="21" spans="1:29" x14ac:dyDescent="0.25">
      <c r="A21" s="23" t="s">
        <v>16</v>
      </c>
      <c r="B21" s="20" t="s">
        <v>37</v>
      </c>
      <c r="C21" s="1">
        <v>1</v>
      </c>
      <c r="D21" s="21">
        <f>IF(C21+IF(A21=$B$9,1,0)+IF(A21=$B$10,1,0)+IF(A21=$B$11,1,0)+IF(A21=$B$12,1,0)+IF(A21=$B$7,1,0)+IF(A21=$B$8,1,0)&lt;&gt;0,INDEX($L$1:$L$16,MATCH(B21,K$1:K$16,0),0)+IF(A21=$B$9,1,0)+IF(A21=$B$10,1,0)+IF(A21=$B$11,1,0)+IF(A21=$B$12,1,0)+IF(A21=$B$7,1,0)+IF(A21=$B$8,1,0)+C21,0)</f>
        <v>6</v>
      </c>
      <c r="E21" s="23" t="str">
        <f>IF(B9=O25,O25,"langue (________)")</f>
        <v>langue (________)</v>
      </c>
      <c r="F21" s="20" t="s">
        <v>38</v>
      </c>
      <c r="G21" s="1"/>
      <c r="H21" s="21">
        <f>IF(G21+IF(E21=$B$9,1,0)+IF(E21=$B$10,1,0)+IF(E21=$B$11,1,0)+IF(E21=$B$12,1,0)+IF(E21=$B$7,1,0)+IF(E21=$B$8,1,0)&lt;&gt;0,INDEX($L$1:$L$16,MATCH(F21,K$1:K$16,0),0)+IF(E21=$B$9,1,0)+IF(E21=$B$10,1,0)+IF(E21=$B$11,1,0)+IF(E21=$B$12,1,0)+IF(E21=$B$7,1,0)+IF(E21=$B$8,1,0)+G21,0)</f>
        <v>0</v>
      </c>
      <c r="K21" s="1" t="s">
        <v>67</v>
      </c>
      <c r="L21" s="1" t="s">
        <v>7</v>
      </c>
      <c r="M21" t="s">
        <v>68</v>
      </c>
      <c r="N21" t="s">
        <v>17</v>
      </c>
      <c r="O21" t="s">
        <v>34</v>
      </c>
      <c r="P21" s="1" t="e">
        <f t="shared" si="9"/>
        <v>#N/A</v>
      </c>
      <c r="Q21" s="1" t="e">
        <f t="shared" si="10"/>
        <v>#N/A</v>
      </c>
      <c r="R21" s="1" t="e">
        <f t="shared" si="11"/>
        <v>#N/A</v>
      </c>
      <c r="S21" s="1" t="e">
        <f t="shared" si="12"/>
        <v>#N/A</v>
      </c>
      <c r="T21" s="1" t="e">
        <f t="shared" si="13"/>
        <v>#N/A</v>
      </c>
      <c r="U21" s="1" t="e">
        <f t="shared" si="14"/>
        <v>#N/A</v>
      </c>
    </row>
    <row r="22" spans="1:29" x14ac:dyDescent="0.25">
      <c r="A22" s="23" t="s">
        <v>36</v>
      </c>
      <c r="B22" s="20" t="s">
        <v>38</v>
      </c>
      <c r="C22" s="1"/>
      <c r="D22" s="21">
        <f t="shared" ref="D22:D40" si="15">IF(C22+IF(A22=$B$9,1,0)+IF(A22=$B$10,1,0)+IF(A22=$B$11,1,0)+IF(A22=$B$12,1,0)+IF(A22=$B$7,1,0)+IF(A22=$B$8,1,0)&lt;&gt;0,INDEX($L$1:$L$16,MATCH(B22,K$1:K$16,0),0)+IF(A22=$B$9,1,0)+IF(A22=$B$10,1,0)+IF(A22=$B$11,1,0)+IF(A22=$B$12,1,0)+IF(A22=$B$7,1,0)+IF(A22=$B$8,1,0)+C22,0)</f>
        <v>0</v>
      </c>
      <c r="E22" s="23" t="s">
        <v>160</v>
      </c>
      <c r="F22" s="20" t="s">
        <v>38</v>
      </c>
      <c r="G22" s="1"/>
      <c r="H22" s="21">
        <f>IF(G22+IF(E22=$B$9,1,0)+1+IF(E22=$B$10,1,0)+IF(E22=$B$11,1,0)+IF(E22=$B$12,1,0)+IF(E22=$B$7,1,0)+IF(E22=$B$8,1,0)&lt;&gt;0,INDEX($L$1:$L$16,MATCH(F22,K$1:K$16,0),0)+IF(E22=$B$9,1,0)+IF(E22=$B$10,1,0)+IF(E22=$B$11,1,0)+IF(E22=$B$12,1,0)+IF(E22=$B$7,1,0)+IF(E22=$B$8,1,0)+G22+1,0)</f>
        <v>5</v>
      </c>
      <c r="K22" s="1" t="s">
        <v>69</v>
      </c>
      <c r="L22" s="3" t="s">
        <v>56</v>
      </c>
      <c r="M22" t="s">
        <v>70</v>
      </c>
      <c r="N22" t="s">
        <v>25</v>
      </c>
      <c r="O22" t="s">
        <v>27</v>
      </c>
    </row>
    <row r="23" spans="1:29" x14ac:dyDescent="0.25">
      <c r="A23" s="23" t="s">
        <v>36</v>
      </c>
      <c r="B23" s="20" t="s">
        <v>38</v>
      </c>
      <c r="C23" s="1"/>
      <c r="D23" s="21">
        <f t="shared" si="15"/>
        <v>0</v>
      </c>
      <c r="E23" s="23" t="s">
        <v>27</v>
      </c>
      <c r="F23" s="20" t="s">
        <v>38</v>
      </c>
      <c r="G23" s="1"/>
      <c r="H23" s="21">
        <f t="shared" ref="H23:H40" si="16">IF(G23+IF(E23=$B$9,1,0)+IF(E23=$B$10,1,0)+IF(E23=$B$11,1,0)+IF(E23=$B$12,1,0)+IF(E23=$B$7,1,0)+IF(E23=$B$8,1,0)&lt;&gt;0,INDEX($L$1:$L$16,MATCH(F23,K$1:K$16,0),0)+IF(E23=$B$9,1,0)+IF(E23=$B$10,1,0)+IF(E23=$B$11,1,0)+IF(E23=$B$12,1,0)+IF(E23=$B$7,1,0)+IF(E23=$B$8,1,0)+G23,0)</f>
        <v>0</v>
      </c>
      <c r="K23" s="1" t="s">
        <v>71</v>
      </c>
      <c r="L23" s="3" t="s">
        <v>56</v>
      </c>
      <c r="M23" t="s">
        <v>72</v>
      </c>
      <c r="N23" t="s">
        <v>84</v>
      </c>
      <c r="O23" t="s">
        <v>85</v>
      </c>
    </row>
    <row r="24" spans="1:29" x14ac:dyDescent="0.25">
      <c r="A24" s="23" t="s">
        <v>36</v>
      </c>
      <c r="B24" s="20" t="s">
        <v>38</v>
      </c>
      <c r="C24" s="1"/>
      <c r="D24" s="21">
        <f t="shared" si="15"/>
        <v>0</v>
      </c>
      <c r="E24" s="23" t="s">
        <v>99</v>
      </c>
      <c r="F24" s="20" t="s">
        <v>51</v>
      </c>
      <c r="G24" s="1">
        <v>1</v>
      </c>
      <c r="H24" s="21">
        <f t="shared" si="16"/>
        <v>9</v>
      </c>
      <c r="K24" s="1" t="s">
        <v>73</v>
      </c>
      <c r="L24" s="1" t="s">
        <v>6</v>
      </c>
      <c r="M24" t="s">
        <v>74</v>
      </c>
      <c r="N24" t="s">
        <v>99</v>
      </c>
      <c r="O24" t="s">
        <v>14</v>
      </c>
    </row>
    <row r="25" spans="1:29" x14ac:dyDescent="0.25">
      <c r="A25" s="23" t="s">
        <v>17</v>
      </c>
      <c r="B25" s="20" t="s">
        <v>37</v>
      </c>
      <c r="C25" s="1"/>
      <c r="D25" s="21">
        <f t="shared" si="15"/>
        <v>0</v>
      </c>
      <c r="E25" s="23" t="s">
        <v>28</v>
      </c>
      <c r="F25" s="20" t="s">
        <v>37</v>
      </c>
      <c r="G25" s="1"/>
      <c r="H25" s="21">
        <f t="shared" si="16"/>
        <v>6</v>
      </c>
      <c r="K25" s="1" t="s">
        <v>75</v>
      </c>
      <c r="L25" s="1" t="s">
        <v>10</v>
      </c>
      <c r="M25" t="s">
        <v>76</v>
      </c>
      <c r="N25" t="s">
        <v>21</v>
      </c>
      <c r="O25" t="s">
        <v>86</v>
      </c>
    </row>
    <row r="26" spans="1:29" x14ac:dyDescent="0.25">
      <c r="A26" s="23" t="s">
        <v>18</v>
      </c>
      <c r="B26" s="20" t="s">
        <v>39</v>
      </c>
      <c r="C26" s="1"/>
      <c r="D26" s="21">
        <f t="shared" si="15"/>
        <v>0</v>
      </c>
      <c r="E26" s="23" t="s">
        <v>29</v>
      </c>
      <c r="F26" s="20" t="s">
        <v>38</v>
      </c>
      <c r="G26" s="1"/>
      <c r="H26" s="21">
        <f t="shared" si="16"/>
        <v>0</v>
      </c>
      <c r="K26" s="1" t="s">
        <v>77</v>
      </c>
      <c r="L26" s="1" t="s">
        <v>9</v>
      </c>
      <c r="M26" t="s">
        <v>78</v>
      </c>
      <c r="N26" t="s">
        <v>30</v>
      </c>
      <c r="O26" t="s">
        <v>35</v>
      </c>
    </row>
    <row r="27" spans="1:29" x14ac:dyDescent="0.25">
      <c r="A27" s="23" t="str">
        <f>IF(B8=N23,N23,IF(B8=N27,N27,A29))</f>
        <v>connaissance  (________)</v>
      </c>
      <c r="B27" s="20" t="s">
        <v>38</v>
      </c>
      <c r="C27" s="1"/>
      <c r="D27" s="21">
        <f t="shared" si="15"/>
        <v>0</v>
      </c>
      <c r="E27" s="23" t="s">
        <v>90</v>
      </c>
      <c r="F27" s="20" t="s">
        <v>52</v>
      </c>
      <c r="G27" s="1"/>
      <c r="H27" s="21">
        <f>IF(G27+IF(E27=$B$9,1,0)+IF(E27=$B$10,1,0)+IF(E27=$B$11,1,0)+IF(E27=$B$12,1,0)+IF(E27=$B$7,1,0)+IF(E27=$B$8,1,0)+1&lt;&gt;0,INDEX($L$1:$L$16,MATCH(F27,K$1:K$16,0),0)+IF(E27=$B$9,1,0)+IF(E27=$B$10,1,0)+IF(E27=$B$11,1,0)+IF(E27=$B$12,1,0)+IF(E27=$B$7,1,0)+IF(E27=$B$8,1,0)+G27+1,0)</f>
        <v>4</v>
      </c>
      <c r="K27" s="1" t="s">
        <v>79</v>
      </c>
      <c r="L27" s="3" t="s">
        <v>56</v>
      </c>
      <c r="M27" t="s">
        <v>80</v>
      </c>
      <c r="N27" t="s">
        <v>87</v>
      </c>
      <c r="O27" t="s">
        <v>88</v>
      </c>
      <c r="Q27">
        <v>0</v>
      </c>
    </row>
    <row r="28" spans="1:29" x14ac:dyDescent="0.25">
      <c r="A28" s="23" t="str">
        <f>IF(B9=O23,O23,IF(B9=O27,O27,A29))</f>
        <v>connaissance  (________)</v>
      </c>
      <c r="B28" s="20" t="s">
        <v>38</v>
      </c>
      <c r="C28" s="1"/>
      <c r="D28" s="21">
        <f t="shared" si="15"/>
        <v>0</v>
      </c>
      <c r="E28" s="23" t="s">
        <v>42</v>
      </c>
      <c r="F28" s="20" t="s">
        <v>52</v>
      </c>
      <c r="G28" s="1"/>
      <c r="H28" s="21">
        <f t="shared" si="16"/>
        <v>0</v>
      </c>
      <c r="K28" s="1" t="s">
        <v>81</v>
      </c>
      <c r="L28" s="1" t="s">
        <v>9</v>
      </c>
      <c r="M28" t="s">
        <v>82</v>
      </c>
      <c r="N28" t="s">
        <v>19</v>
      </c>
      <c r="O28" t="s">
        <v>33</v>
      </c>
      <c r="Q28">
        <v>1</v>
      </c>
    </row>
    <row r="29" spans="1:29" x14ac:dyDescent="0.25">
      <c r="A29" s="23" t="s">
        <v>40</v>
      </c>
      <c r="B29" s="20" t="s">
        <v>38</v>
      </c>
      <c r="C29" s="1"/>
      <c r="D29" s="21">
        <f t="shared" si="15"/>
        <v>0</v>
      </c>
      <c r="E29" s="23" t="s">
        <v>42</v>
      </c>
      <c r="F29" s="20" t="s">
        <v>52</v>
      </c>
      <c r="G29" s="1"/>
      <c r="H29" s="21">
        <f t="shared" si="16"/>
        <v>0</v>
      </c>
      <c r="K29">
        <v>1</v>
      </c>
      <c r="Q29">
        <v>2</v>
      </c>
    </row>
    <row r="30" spans="1:29" x14ac:dyDescent="0.25">
      <c r="A30" s="23" t="s">
        <v>19</v>
      </c>
      <c r="B30" s="20" t="s">
        <v>44</v>
      </c>
      <c r="C30" s="1">
        <v>1</v>
      </c>
      <c r="D30" s="21">
        <f t="shared" si="15"/>
        <v>6</v>
      </c>
      <c r="E30" s="23" t="s">
        <v>30</v>
      </c>
      <c r="F30" s="20" t="s">
        <v>38</v>
      </c>
      <c r="G30" s="1"/>
      <c r="H30" s="21">
        <f t="shared" si="16"/>
        <v>0</v>
      </c>
      <c r="K30">
        <v>2</v>
      </c>
      <c r="Q30">
        <v>3</v>
      </c>
    </row>
    <row r="31" spans="1:29" x14ac:dyDescent="0.25">
      <c r="A31" s="23" t="s">
        <v>20</v>
      </c>
      <c r="B31" s="20" t="s">
        <v>45</v>
      </c>
      <c r="C31" s="1"/>
      <c r="D31" s="21">
        <f t="shared" si="15"/>
        <v>0</v>
      </c>
      <c r="E31" s="23" t="s">
        <v>53</v>
      </c>
      <c r="F31" s="20" t="s">
        <v>54</v>
      </c>
      <c r="G31" s="1"/>
      <c r="H31" s="21">
        <f t="shared" si="16"/>
        <v>0</v>
      </c>
      <c r="K31">
        <v>3</v>
      </c>
      <c r="Q31">
        <v>4</v>
      </c>
    </row>
    <row r="32" spans="1:29" x14ac:dyDescent="0.25">
      <c r="A32" s="23" t="s">
        <v>21</v>
      </c>
      <c r="B32" s="20" t="s">
        <v>39</v>
      </c>
      <c r="C32" s="1"/>
      <c r="D32" s="21">
        <f t="shared" si="15"/>
        <v>0</v>
      </c>
      <c r="E32" s="23" t="s">
        <v>31</v>
      </c>
      <c r="F32" s="20" t="s">
        <v>52</v>
      </c>
      <c r="G32" s="1"/>
      <c r="H32" s="21">
        <f t="shared" si="16"/>
        <v>0</v>
      </c>
      <c r="K32">
        <v>4</v>
      </c>
      <c r="Q32">
        <v>5</v>
      </c>
    </row>
    <row r="33" spans="1:17" x14ac:dyDescent="0.25">
      <c r="A33" s="23" t="s">
        <v>22</v>
      </c>
      <c r="B33" s="20" t="s">
        <v>46</v>
      </c>
      <c r="C33" s="1"/>
      <c r="D33" s="21">
        <f t="shared" si="15"/>
        <v>0</v>
      </c>
      <c r="E33" s="23" t="s">
        <v>32</v>
      </c>
      <c r="F33" s="20" t="s">
        <v>55</v>
      </c>
      <c r="G33" s="1"/>
      <c r="H33" s="21">
        <f t="shared" si="16"/>
        <v>4</v>
      </c>
      <c r="K33">
        <v>5</v>
      </c>
      <c r="Q33">
        <v>6</v>
      </c>
    </row>
    <row r="34" spans="1:17" x14ac:dyDescent="0.25">
      <c r="A34" s="23" t="s">
        <v>23</v>
      </c>
      <c r="B34" s="20" t="s">
        <v>46</v>
      </c>
      <c r="C34" s="1"/>
      <c r="D34" s="21">
        <f t="shared" si="15"/>
        <v>0</v>
      </c>
      <c r="E34" s="23" t="s">
        <v>33</v>
      </c>
      <c r="F34" s="20" t="s">
        <v>46</v>
      </c>
      <c r="G34" s="1"/>
      <c r="H34" s="21">
        <f t="shared" si="16"/>
        <v>0</v>
      </c>
      <c r="Q34">
        <v>7</v>
      </c>
    </row>
    <row r="35" spans="1:17" x14ac:dyDescent="0.25">
      <c r="A35" s="23" t="s">
        <v>24</v>
      </c>
      <c r="B35" s="20" t="s">
        <v>38</v>
      </c>
      <c r="C35" s="1"/>
      <c r="D35" s="21">
        <f t="shared" si="15"/>
        <v>0</v>
      </c>
      <c r="E35" s="23" t="s">
        <v>34</v>
      </c>
      <c r="F35" s="20" t="s">
        <v>55</v>
      </c>
      <c r="G35" s="1"/>
      <c r="H35" s="21">
        <f t="shared" si="16"/>
        <v>0</v>
      </c>
      <c r="K35" t="s">
        <v>92</v>
      </c>
      <c r="L35" t="s">
        <v>99</v>
      </c>
      <c r="M35" t="s">
        <v>28</v>
      </c>
      <c r="N35" t="s">
        <v>32</v>
      </c>
      <c r="Q35">
        <v>8</v>
      </c>
    </row>
    <row r="36" spans="1:17" x14ac:dyDescent="0.25">
      <c r="A36" s="23" t="s">
        <v>25</v>
      </c>
      <c r="B36" s="20" t="s">
        <v>38</v>
      </c>
      <c r="C36" s="1"/>
      <c r="D36" s="21">
        <f t="shared" si="15"/>
        <v>0</v>
      </c>
      <c r="E36" s="23" t="str">
        <f>IF(B9=O19,O19,E37)</f>
        <v>technique (________)</v>
      </c>
      <c r="F36" s="20" t="s">
        <v>46</v>
      </c>
      <c r="G36" s="1"/>
      <c r="H36" s="21">
        <f t="shared" si="16"/>
        <v>0</v>
      </c>
      <c r="K36" t="s">
        <v>93</v>
      </c>
      <c r="L36" t="s">
        <v>99</v>
      </c>
      <c r="M36" t="s">
        <v>22</v>
      </c>
      <c r="N36" t="s">
        <v>16</v>
      </c>
      <c r="Q36">
        <v>9</v>
      </c>
    </row>
    <row r="37" spans="1:17" x14ac:dyDescent="0.25">
      <c r="A37" s="23" t="s">
        <v>41</v>
      </c>
      <c r="B37" s="20" t="s">
        <v>39</v>
      </c>
      <c r="C37" s="1"/>
      <c r="D37" s="21">
        <f t="shared" si="15"/>
        <v>0</v>
      </c>
      <c r="E37" s="23" t="s">
        <v>43</v>
      </c>
      <c r="F37" s="20" t="s">
        <v>46</v>
      </c>
      <c r="G37" s="1"/>
      <c r="H37" s="21">
        <f t="shared" si="16"/>
        <v>0</v>
      </c>
      <c r="K37" t="s">
        <v>94</v>
      </c>
      <c r="L37" t="s">
        <v>99</v>
      </c>
      <c r="M37" t="s">
        <v>100</v>
      </c>
      <c r="N37" t="s">
        <v>18</v>
      </c>
      <c r="Q37">
        <v>10</v>
      </c>
    </row>
    <row r="38" spans="1:17" x14ac:dyDescent="0.25">
      <c r="A38" s="23" t="s">
        <v>41</v>
      </c>
      <c r="B38" s="20" t="s">
        <v>39</v>
      </c>
      <c r="C38" s="1"/>
      <c r="D38" s="21">
        <f t="shared" si="15"/>
        <v>0</v>
      </c>
      <c r="E38" s="23" t="s">
        <v>43</v>
      </c>
      <c r="F38" s="20" t="s">
        <v>46</v>
      </c>
      <c r="G38" s="1"/>
      <c r="H38" s="21">
        <f t="shared" si="16"/>
        <v>0</v>
      </c>
      <c r="K38" t="s">
        <v>95</v>
      </c>
      <c r="L38" t="s">
        <v>99</v>
      </c>
      <c r="M38" t="s">
        <v>17</v>
      </c>
      <c r="N38" t="s">
        <v>35</v>
      </c>
      <c r="Q38">
        <v>11</v>
      </c>
    </row>
    <row r="39" spans="1:17" x14ac:dyDescent="0.25">
      <c r="A39" s="23" t="s">
        <v>26</v>
      </c>
      <c r="B39" s="20" t="s">
        <v>47</v>
      </c>
      <c r="C39" s="1">
        <v>1</v>
      </c>
      <c r="D39" s="21">
        <f t="shared" si="15"/>
        <v>7</v>
      </c>
      <c r="E39" s="23" t="s">
        <v>14</v>
      </c>
      <c r="F39" s="20" t="s">
        <v>46</v>
      </c>
      <c r="G39" s="1"/>
      <c r="H39" s="21">
        <f t="shared" si="16"/>
        <v>6</v>
      </c>
      <c r="K39" t="s">
        <v>96</v>
      </c>
      <c r="L39" t="s">
        <v>19</v>
      </c>
      <c r="M39" t="s">
        <v>17</v>
      </c>
      <c r="N39" t="s">
        <v>33</v>
      </c>
      <c r="Q39">
        <v>12</v>
      </c>
    </row>
    <row r="40" spans="1:17" ht="15.75" thickBot="1" x14ac:dyDescent="0.3">
      <c r="A40" s="24" t="str">
        <f>CONCATENATE("langue (",B6,")")</f>
        <v>langue (Lhammuth)</v>
      </c>
      <c r="B40" s="25" t="s">
        <v>38</v>
      </c>
      <c r="C40" s="16"/>
      <c r="D40" s="22">
        <f t="shared" si="15"/>
        <v>5</v>
      </c>
      <c r="E40" s="24" t="s">
        <v>35</v>
      </c>
      <c r="F40" s="25" t="s">
        <v>54</v>
      </c>
      <c r="G40" s="16"/>
      <c r="H40" s="22">
        <f t="shared" si="16"/>
        <v>0</v>
      </c>
      <c r="K40" t="s">
        <v>97</v>
      </c>
      <c r="L40" t="s">
        <v>19</v>
      </c>
      <c r="M40" t="s">
        <v>29</v>
      </c>
      <c r="N40" t="s">
        <v>31</v>
      </c>
      <c r="Q40">
        <v>13</v>
      </c>
    </row>
    <row r="41" spans="1:17" ht="6.75" customHeight="1" thickBot="1" x14ac:dyDescent="0.3">
      <c r="A41" s="9"/>
      <c r="B41" s="2"/>
      <c r="C41" s="2"/>
      <c r="D41" s="2"/>
      <c r="E41" s="2"/>
      <c r="F41" s="2"/>
      <c r="G41" s="2"/>
      <c r="H41" s="8"/>
      <c r="Q41">
        <v>14</v>
      </c>
    </row>
    <row r="42" spans="1:17" ht="15.75" thickBot="1" x14ac:dyDescent="0.3">
      <c r="A42" s="9"/>
      <c r="B42" s="44" t="s">
        <v>58</v>
      </c>
      <c r="C42" s="45"/>
      <c r="D42" s="45"/>
      <c r="E42" s="15" t="s">
        <v>59</v>
      </c>
      <c r="F42" s="2"/>
      <c r="G42" s="2"/>
      <c r="H42" s="8"/>
      <c r="Q42">
        <v>15</v>
      </c>
    </row>
    <row r="43" spans="1:17" ht="15.75" thickBot="1" x14ac:dyDescent="0.3">
      <c r="A43" s="19" t="s">
        <v>57</v>
      </c>
      <c r="B43" s="46" t="s">
        <v>9</v>
      </c>
      <c r="C43" s="47"/>
      <c r="D43" s="47"/>
      <c r="E43" s="17" t="s">
        <v>10</v>
      </c>
      <c r="F43" s="2"/>
      <c r="G43" s="2"/>
      <c r="H43" s="8"/>
      <c r="Q43">
        <v>16</v>
      </c>
    </row>
    <row r="44" spans="1:17" ht="6.75" customHeight="1" thickBot="1" x14ac:dyDescent="0.3">
      <c r="A44" s="9"/>
      <c r="B44" s="2"/>
      <c r="C44" s="2"/>
      <c r="D44" s="2"/>
      <c r="E44" s="2"/>
      <c r="F44" s="2"/>
      <c r="G44" s="2"/>
      <c r="H44" s="8"/>
      <c r="Q44">
        <v>17</v>
      </c>
    </row>
    <row r="45" spans="1:17" ht="16.5" thickBot="1" x14ac:dyDescent="0.3">
      <c r="A45" s="48" t="s">
        <v>62</v>
      </c>
      <c r="B45" s="49"/>
      <c r="C45" s="49"/>
      <c r="D45" s="49"/>
      <c r="E45" s="49"/>
      <c r="F45" s="49"/>
      <c r="G45" s="49"/>
      <c r="H45" s="50"/>
      <c r="Q45">
        <v>18</v>
      </c>
    </row>
    <row r="46" spans="1:17" x14ac:dyDescent="0.25">
      <c r="A46" s="12" t="s">
        <v>101</v>
      </c>
      <c r="B46" s="38" t="s">
        <v>105</v>
      </c>
      <c r="C46" s="39"/>
      <c r="D46" s="39"/>
      <c r="E46" s="39"/>
      <c r="F46" s="39"/>
      <c r="G46" s="39"/>
      <c r="H46" s="40"/>
      <c r="Q46">
        <v>19</v>
      </c>
    </row>
    <row r="47" spans="1:17" x14ac:dyDescent="0.25">
      <c r="A47" s="7" t="s">
        <v>102</v>
      </c>
      <c r="B47" s="41" t="s">
        <v>128</v>
      </c>
      <c r="C47" s="42"/>
      <c r="D47" s="42"/>
      <c r="E47" s="42"/>
      <c r="F47" s="42"/>
      <c r="G47" s="42"/>
      <c r="H47" s="43"/>
      <c r="Q47">
        <v>20</v>
      </c>
    </row>
    <row r="48" spans="1:17" x14ac:dyDescent="0.25">
      <c r="A48" s="7" t="s">
        <v>103</v>
      </c>
      <c r="B48" s="41" t="s">
        <v>119</v>
      </c>
      <c r="C48" s="42"/>
      <c r="D48" s="42"/>
      <c r="E48" s="42"/>
      <c r="F48" s="42"/>
      <c r="G48" s="42"/>
      <c r="H48" s="43"/>
    </row>
    <row r="49" spans="1:8" x14ac:dyDescent="0.25">
      <c r="A49" s="7"/>
      <c r="B49" s="41"/>
      <c r="C49" s="42"/>
      <c r="D49" s="42"/>
      <c r="E49" s="42"/>
      <c r="F49" s="42"/>
      <c r="G49" s="42"/>
      <c r="H49" s="43"/>
    </row>
    <row r="50" spans="1:8" x14ac:dyDescent="0.25">
      <c r="A50" s="7"/>
      <c r="B50" s="41"/>
      <c r="C50" s="42"/>
      <c r="D50" s="42"/>
      <c r="E50" s="42"/>
      <c r="F50" s="42"/>
      <c r="G50" s="42"/>
      <c r="H50" s="43"/>
    </row>
    <row r="51" spans="1:8" ht="15.75" thickBot="1" x14ac:dyDescent="0.3">
      <c r="A51" s="11"/>
      <c r="B51" s="31"/>
      <c r="C51" s="32"/>
      <c r="D51" s="32"/>
      <c r="E51" s="32"/>
      <c r="F51" s="32"/>
      <c r="G51" s="32"/>
      <c r="H51" s="33"/>
    </row>
  </sheetData>
  <mergeCells count="35">
    <mergeCell ref="A2:C2"/>
    <mergeCell ref="B3:C3"/>
    <mergeCell ref="B4:C4"/>
    <mergeCell ref="B5:C5"/>
    <mergeCell ref="E1:H1"/>
    <mergeCell ref="B6:C6"/>
    <mergeCell ref="E15:F15"/>
    <mergeCell ref="E16:F16"/>
    <mergeCell ref="E17:F17"/>
    <mergeCell ref="A19:H19"/>
    <mergeCell ref="B43:D43"/>
    <mergeCell ref="A45:H45"/>
    <mergeCell ref="A7:A9"/>
    <mergeCell ref="B7:C7"/>
    <mergeCell ref="B8:C8"/>
    <mergeCell ref="B9:C9"/>
    <mergeCell ref="A10:A12"/>
    <mergeCell ref="B10:C10"/>
    <mergeCell ref="B11:C11"/>
    <mergeCell ref="B51:H51"/>
    <mergeCell ref="E10:F10"/>
    <mergeCell ref="G10:H10"/>
    <mergeCell ref="E13:F13"/>
    <mergeCell ref="G13:H13"/>
    <mergeCell ref="E11:F11"/>
    <mergeCell ref="G11:H11"/>
    <mergeCell ref="E12:F12"/>
    <mergeCell ref="G12:H12"/>
    <mergeCell ref="B12:C12"/>
    <mergeCell ref="B46:H46"/>
    <mergeCell ref="B47:H47"/>
    <mergeCell ref="B48:H48"/>
    <mergeCell ref="B49:H49"/>
    <mergeCell ref="B50:H50"/>
    <mergeCell ref="B42:D42"/>
  </mergeCells>
  <conditionalFormatting sqref="G3:G8">
    <cfRule type="cellIs" dxfId="5" priority="7" operator="greaterThan">
      <formula>H3</formula>
    </cfRule>
  </conditionalFormatting>
  <conditionalFormatting sqref="G13:H13">
    <cfRule type="cellIs" dxfId="4" priority="6" operator="lessThan">
      <formula>0</formula>
    </cfRule>
  </conditionalFormatting>
  <conditionalFormatting sqref="E43">
    <cfRule type="cellIs" dxfId="3" priority="5" operator="equal">
      <formula>$B$43</formula>
    </cfRule>
  </conditionalFormatting>
  <conditionalFormatting sqref="G10:H12">
    <cfRule type="expression" dxfId="2" priority="4">
      <formula>$J$10&gt;$J$11</formula>
    </cfRule>
  </conditionalFormatting>
  <conditionalFormatting sqref="A21:D40">
    <cfRule type="expression" dxfId="0" priority="2">
      <formula>($D21=0)</formula>
    </cfRule>
  </conditionalFormatting>
  <conditionalFormatting sqref="E21:H40">
    <cfRule type="expression" dxfId="1" priority="1">
      <formula>$H21=0</formula>
    </cfRule>
  </conditionalFormatting>
  <dataValidations count="8">
    <dataValidation type="list" allowBlank="1" showInputMessage="1" showErrorMessage="1" sqref="B43:D43">
      <formula1>$N$1:$N$6</formula1>
    </dataValidation>
    <dataValidation type="list" allowBlank="1" showInputMessage="1" showErrorMessage="1" sqref="E43">
      <formula1>$N$1:$N$7</formula1>
    </dataValidation>
    <dataValidation type="list" allowBlank="1" showInputMessage="1" showErrorMessage="1" sqref="B6:C6">
      <formula1>$K$19:$K$27</formula1>
    </dataValidation>
    <dataValidation type="list" allowBlank="1" showInputMessage="1" showErrorMessage="1" sqref="F3:F9">
      <formula1>$K$29:$K$33</formula1>
    </dataValidation>
    <dataValidation type="list" allowBlank="1" showInputMessage="1" showErrorMessage="1" sqref="B5:C5">
      <formula1>$K$35:$K$40</formula1>
    </dataValidation>
    <dataValidation type="list" allowBlank="1" showInputMessage="1" showErrorMessage="1" sqref="A46:A51">
      <formula1>$R$1:$R$3</formula1>
    </dataValidation>
    <dataValidation type="list" allowBlank="1" showInputMessage="1" showErrorMessage="1" sqref="B46:H51">
      <formula1>$P16:$U16</formula1>
    </dataValidation>
    <dataValidation type="list" allowBlank="1" showInputMessage="1" showErrorMessage="1" sqref="C21:C40 G21:G40">
      <formula1>$Q$27:$Q$47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création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LEGRAND-MURILLO</dc:creator>
  <cp:lastModifiedBy>LEGRAND-MURILLO</cp:lastModifiedBy>
  <cp:lastPrinted>2015-10-10T18:13:27Z</cp:lastPrinted>
  <dcterms:created xsi:type="dcterms:W3CDTF">2015-10-10T14:24:02Z</dcterms:created>
  <dcterms:modified xsi:type="dcterms:W3CDTF">2015-10-11T16:07:43Z</dcterms:modified>
</cp:coreProperties>
</file>